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670" windowHeight="544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'Sheet1'!$A$1:$O$24</definedName>
  </definedNames>
  <calcPr fullCalcOnLoad="1"/>
</workbook>
</file>

<file path=xl/sharedStrings.xml><?xml version="1.0" encoding="utf-8"?>
<sst xmlns="http://schemas.openxmlformats.org/spreadsheetml/2006/main" count="66" uniqueCount="52">
  <si>
    <t>Wt</t>
  </si>
  <si>
    <t>Long CG</t>
  </si>
  <si>
    <t>Hook</t>
  </si>
  <si>
    <t>Payload</t>
  </si>
  <si>
    <t>Long</t>
  </si>
  <si>
    <t>Arm</t>
  </si>
  <si>
    <t>Mom</t>
  </si>
  <si>
    <t>Aircraft</t>
  </si>
  <si>
    <t>Nil</t>
  </si>
  <si>
    <t>Stbd Door Off</t>
  </si>
  <si>
    <t>Port Door Off</t>
  </si>
  <si>
    <t>AUW</t>
  </si>
  <si>
    <t>Takeoff</t>
  </si>
  <si>
    <t>30 Mins</t>
  </si>
  <si>
    <t>1 Hr</t>
  </si>
  <si>
    <t>1.5 Hrs</t>
  </si>
  <si>
    <t>2 Hrs</t>
  </si>
  <si>
    <t>Basic Wt Lbs</t>
  </si>
  <si>
    <t>CG Addendum 1</t>
  </si>
  <si>
    <t>CG Addendum 2</t>
  </si>
  <si>
    <t>CG Addendum 3</t>
  </si>
  <si>
    <t>CG Addendum 4</t>
  </si>
  <si>
    <t>CG Addendum 5</t>
  </si>
  <si>
    <t>CG Addendum 6</t>
  </si>
  <si>
    <t>CG Addendum 7</t>
  </si>
  <si>
    <t>CG Addendum 8</t>
  </si>
  <si>
    <t>CG Addendum 9</t>
  </si>
  <si>
    <t>CG Addendum 10</t>
  </si>
  <si>
    <t>CG Addendum 11</t>
  </si>
  <si>
    <t>Manual CG</t>
  </si>
  <si>
    <t>OAT C</t>
  </si>
  <si>
    <t>Oil</t>
  </si>
  <si>
    <t>C1</t>
  </si>
  <si>
    <t>C2</t>
  </si>
  <si>
    <t>C3</t>
  </si>
  <si>
    <t>Baggage (C6)</t>
  </si>
  <si>
    <t>Fuel</t>
  </si>
  <si>
    <t>Cockpit (B1)</t>
  </si>
  <si>
    <t>Cabin (C1)</t>
  </si>
  <si>
    <t>Cabin (C2)</t>
  </si>
  <si>
    <t>Cabin (C3)</t>
  </si>
  <si>
    <t>Long Index</t>
  </si>
  <si>
    <t>B1</t>
  </si>
  <si>
    <t>C6</t>
  </si>
  <si>
    <t>Manual Basic Wt</t>
  </si>
  <si>
    <t>Washer</t>
  </si>
  <si>
    <t>Oil (Gals)</t>
  </si>
  <si>
    <t>Washer (Qts)</t>
  </si>
  <si>
    <t>Fuel Lb/US gal</t>
  </si>
  <si>
    <t>CG Envelope</t>
  </si>
  <si>
    <t>Fuel US Gals*</t>
  </si>
  <si>
    <t>*550 lbs/hr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</si>
</sst>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8.5"/>
      <name val="Arial"/>
      <family val="0"/>
    </font>
    <font>
      <sz val="5.7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5"/>
      <name val="Arial"/>
      <family val="0"/>
    </font>
    <font>
      <b/>
      <i/>
      <sz val="10"/>
      <name val="Arial (WT)"/>
      <family val="2"/>
    </font>
    <font>
      <b/>
      <sz val="10.5"/>
      <name val="Arial"/>
      <family val="0"/>
    </font>
    <font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" fontId="3" fillId="0" borderId="0" xfId="0" applyAlignment="1">
      <alignment horizontal="center"/>
    </xf>
    <xf numFmtId="1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3" fillId="0" borderId="0" xfId="0" applyNumberFormat="1" applyAlignment="1">
      <alignment horizontal="left"/>
    </xf>
    <xf numFmtId="0" fontId="8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2" fontId="0" fillId="2" borderId="0" xfId="0" applyFill="1" applyAlignment="1">
      <alignment horizontal="right"/>
    </xf>
    <xf numFmtId="1" fontId="0" fillId="2" borderId="0" xfId="0" applyFill="1" applyAlignment="1">
      <alignment horizontal="right"/>
    </xf>
    <xf numFmtId="1" fontId="0" fillId="3" borderId="0" xfId="0" applyFill="1" applyAlignment="1">
      <alignment horizontal="right"/>
    </xf>
    <xf numFmtId="2" fontId="0" fillId="3" borderId="0" xfId="0" applyFill="1" applyAlignment="1">
      <alignment horizontal="right"/>
    </xf>
    <xf numFmtId="1" fontId="0" fillId="4" borderId="0" xfId="0" applyFill="1" applyAlignment="1">
      <alignment horizontal="right"/>
    </xf>
    <xf numFmtId="2" fontId="0" fillId="4" borderId="0" xfId="0" applyFill="1" applyAlignment="1">
      <alignment horizontal="right"/>
    </xf>
    <xf numFmtId="1" fontId="0" fillId="5" borderId="0" xfId="0" applyFill="1" applyAlignment="1">
      <alignment horizontal="right"/>
    </xf>
    <xf numFmtId="2" fontId="0" fillId="5" borderId="0" xfId="0" applyFill="1" applyAlignment="1">
      <alignment horizontal="right"/>
    </xf>
    <xf numFmtId="1" fontId="3" fillId="0" borderId="0" xfId="0" applyFont="1" applyAlignment="1">
      <alignment horizontal="left"/>
    </xf>
    <xf numFmtId="1" fontId="3" fillId="0" borderId="0" xfId="0" applyAlignment="1" applyProtection="1">
      <alignment/>
      <protection/>
    </xf>
    <xf numFmtId="1" fontId="3" fillId="0" borderId="0" xfId="0" applyAlignment="1" applyProtection="1">
      <alignment horizontal="center"/>
      <protection/>
    </xf>
    <xf numFmtId="1" fontId="3" fillId="0" borderId="0" xfId="0" applyAlignment="1" applyProtection="1">
      <alignment horizontal="left"/>
      <protection/>
    </xf>
    <xf numFmtId="1" fontId="0" fillId="2" borderId="0" xfId="0" applyFill="1" applyAlignment="1" applyProtection="1">
      <alignment/>
      <protection/>
    </xf>
    <xf numFmtId="2" fontId="0" fillId="2" borderId="0" xfId="0" applyFill="1" applyAlignment="1" applyProtection="1">
      <alignment horizontal="right"/>
      <protection/>
    </xf>
    <xf numFmtId="1" fontId="0" fillId="2" borderId="0" xfId="0" applyFill="1" applyAlignment="1" applyProtection="1">
      <alignment horizontal="right"/>
      <protection/>
    </xf>
    <xf numFmtId="1" fontId="0" fillId="3" borderId="0" xfId="0" applyFill="1" applyAlignment="1" applyProtection="1">
      <alignment/>
      <protection/>
    </xf>
    <xf numFmtId="2" fontId="0" fillId="3" borderId="0" xfId="0" applyFill="1" applyAlignment="1" applyProtection="1">
      <alignment horizontal="right"/>
      <protection/>
    </xf>
    <xf numFmtId="1" fontId="0" fillId="3" borderId="0" xfId="0" applyFill="1" applyAlignment="1" applyProtection="1">
      <alignment horizontal="right"/>
      <protection/>
    </xf>
    <xf numFmtId="1" fontId="0" fillId="4" borderId="0" xfId="0" applyFill="1" applyAlignment="1" applyProtection="1">
      <alignment/>
      <protection/>
    </xf>
    <xf numFmtId="2" fontId="0" fillId="4" borderId="0" xfId="0" applyFill="1" applyAlignment="1" applyProtection="1">
      <alignment horizontal="right"/>
      <protection/>
    </xf>
    <xf numFmtId="1" fontId="0" fillId="4" borderId="0" xfId="0" applyFill="1" applyAlignment="1" applyProtection="1">
      <alignment horizontal="right"/>
      <protection/>
    </xf>
    <xf numFmtId="1" fontId="0" fillId="5" borderId="0" xfId="0" applyFill="1" applyAlignment="1" applyProtection="1">
      <alignment/>
      <protection/>
    </xf>
    <xf numFmtId="2" fontId="0" fillId="5" borderId="0" xfId="0" applyFill="1" applyAlignment="1" applyProtection="1">
      <alignment horizontal="right"/>
      <protection/>
    </xf>
    <xf numFmtId="1" fontId="0" fillId="5" borderId="0" xfId="0" applyFill="1" applyAlignment="1" applyProtection="1">
      <alignment horizontal="right"/>
      <protection/>
    </xf>
    <xf numFmtId="1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" fontId="0" fillId="2" borderId="0" xfId="0" applyFill="1" applyAlignment="1" applyProtection="1">
      <alignment/>
      <protection/>
    </xf>
    <xf numFmtId="1" fontId="0" fillId="3" borderId="0" xfId="0" applyFill="1" applyAlignment="1" applyProtection="1">
      <alignment/>
      <protection/>
    </xf>
    <xf numFmtId="1" fontId="0" fillId="4" borderId="0" xfId="0" applyFill="1" applyAlignment="1" applyProtection="1">
      <alignment/>
      <protection/>
    </xf>
    <xf numFmtId="1" fontId="0" fillId="5" borderId="0" xfId="0" applyFill="1" applyAlignment="1" applyProtection="1">
      <alignment/>
      <protection/>
    </xf>
    <xf numFmtId="1" fontId="0" fillId="0" borderId="0" xfId="0" applyAlignment="1" applyProtection="1">
      <alignment horizontal="left"/>
      <protection/>
    </xf>
    <xf numFmtId="1" fontId="0" fillId="6" borderId="0" xfId="0" applyFill="1" applyAlignment="1">
      <alignment horizontal="right"/>
    </xf>
    <xf numFmtId="2" fontId="0" fillId="6" borderId="0" xfId="0" applyFill="1" applyAlignment="1">
      <alignment horizontal="right"/>
    </xf>
    <xf numFmtId="1" fontId="0" fillId="6" borderId="0" xfId="0" applyFill="1" applyAlignment="1" applyProtection="1">
      <alignment/>
      <protection/>
    </xf>
    <xf numFmtId="2" fontId="0" fillId="6" borderId="0" xfId="0" applyFill="1" applyAlignment="1" applyProtection="1">
      <alignment horizontal="right"/>
      <protection/>
    </xf>
    <xf numFmtId="1" fontId="0" fillId="6" borderId="0" xfId="0" applyFill="1" applyAlignment="1" applyProtection="1">
      <alignment horizontal="right"/>
      <protection/>
    </xf>
    <xf numFmtId="1" fontId="0" fillId="6" borderId="0" xfId="0" applyFill="1" applyAlignment="1" applyProtection="1">
      <alignment/>
      <protection/>
    </xf>
    <xf numFmtId="0" fontId="0" fillId="7" borderId="0" xfId="0" applyFill="1" applyAlignment="1">
      <alignment/>
    </xf>
    <xf numFmtId="1" fontId="3" fillId="7" borderId="0" xfId="0" applyFill="1" applyAlignment="1">
      <alignment horizontal="center"/>
    </xf>
    <xf numFmtId="1" fontId="3" fillId="7" borderId="0" xfId="0" applyFont="1" applyFill="1" applyAlignment="1">
      <alignment horizontal="center"/>
    </xf>
    <xf numFmtId="20" fontId="3" fillId="7" borderId="0" xfId="0" applyFill="1" applyAlignment="1">
      <alignment horizontal="center"/>
    </xf>
    <xf numFmtId="2" fontId="0" fillId="7" borderId="0" xfId="0" applyNumberFormat="1" applyFont="1" applyFill="1" applyAlignment="1">
      <alignment horizontal="right"/>
    </xf>
    <xf numFmtId="2" fontId="0" fillId="7" borderId="0" xfId="0" applyNumberFormat="1" applyFill="1" applyAlignment="1">
      <alignment horizontal="right"/>
    </xf>
    <xf numFmtId="1" fontId="4" fillId="7" borderId="0" xfId="0" applyFill="1" applyAlignment="1">
      <alignment horizontal="right"/>
    </xf>
    <xf numFmtId="2" fontId="4" fillId="7" borderId="0" xfId="0" applyFill="1" applyAlignment="1">
      <alignment horizontal="right"/>
    </xf>
    <xf numFmtId="1" fontId="0" fillId="7" borderId="0" xfId="0" applyFill="1" applyAlignment="1">
      <alignment/>
    </xf>
    <xf numFmtId="2" fontId="0" fillId="7" borderId="0" xfId="0" applyFill="1" applyAlignment="1">
      <alignment horizontal="right"/>
    </xf>
    <xf numFmtId="1" fontId="3" fillId="7" borderId="0" xfId="0" applyFont="1" applyFill="1" applyAlignment="1">
      <alignment horizontal="left"/>
    </xf>
    <xf numFmtId="1" fontId="0" fillId="7" borderId="0" xfId="0" applyFill="1" applyAlignment="1">
      <alignment horizontal="right"/>
    </xf>
    <xf numFmtId="1" fontId="0" fillId="7" borderId="0" xfId="0" applyFill="1" applyAlignment="1">
      <alignment horizontal="left"/>
    </xf>
    <xf numFmtId="2" fontId="10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1" fontId="0" fillId="7" borderId="0" xfId="0" applyNumberFormat="1" applyFill="1" applyAlignment="1">
      <alignment/>
    </xf>
    <xf numFmtId="1" fontId="3" fillId="7" borderId="0" xfId="0" applyFont="1" applyFill="1" applyAlignment="1">
      <alignment horizontal="right"/>
    </xf>
    <xf numFmtId="2" fontId="3" fillId="7" borderId="0" xfId="0" applyNumberFormat="1" applyFill="1" applyAlignment="1">
      <alignment horizontal="left"/>
    </xf>
    <xf numFmtId="1" fontId="0" fillId="6" borderId="3" xfId="0" applyFill="1" applyBorder="1" applyAlignment="1">
      <alignment horizontal="right"/>
    </xf>
    <xf numFmtId="1" fontId="0" fillId="2" borderId="3" xfId="0" applyFill="1" applyBorder="1" applyAlignment="1">
      <alignment horizontal="right"/>
    </xf>
    <xf numFmtId="1" fontId="0" fillId="3" borderId="3" xfId="0" applyFill="1" applyBorder="1" applyAlignment="1">
      <alignment horizontal="right"/>
    </xf>
    <xf numFmtId="1" fontId="0" fillId="4" borderId="3" xfId="0" applyFill="1" applyBorder="1" applyAlignment="1">
      <alignment horizontal="right"/>
    </xf>
    <xf numFmtId="1" fontId="0" fillId="5" borderId="3" xfId="0" applyFill="1" applyBorder="1" applyAlignment="1">
      <alignment horizontal="right"/>
    </xf>
    <xf numFmtId="0" fontId="13" fillId="7" borderId="0" xfId="0" applyFont="1" applyFill="1" applyAlignment="1">
      <alignment/>
    </xf>
    <xf numFmtId="1" fontId="14" fillId="7" borderId="0" xfId="0" applyFont="1" applyFill="1" applyAlignment="1">
      <alignment horizontal="left"/>
    </xf>
    <xf numFmtId="1" fontId="14" fillId="7" borderId="0" xfId="0" applyNumberFormat="1" applyFont="1" applyFill="1" applyAlignment="1">
      <alignment horizontal="left"/>
    </xf>
    <xf numFmtId="0" fontId="0" fillId="7" borderId="0" xfId="0" applyFont="1" applyFill="1" applyAlignment="1">
      <alignment/>
    </xf>
    <xf numFmtId="1" fontId="14" fillId="7" borderId="0" xfId="0" applyFont="1" applyFill="1" applyAlignment="1">
      <alignment/>
    </xf>
    <xf numFmtId="1" fontId="14" fillId="7" borderId="0" xfId="0" applyFont="1" applyFill="1" applyAlignment="1">
      <alignment horizontal="left"/>
    </xf>
    <xf numFmtId="2" fontId="1" fillId="7" borderId="0" xfId="0" applyNumberFormat="1" applyFont="1" applyFill="1" applyAlignment="1">
      <alignment horizontal="right"/>
    </xf>
    <xf numFmtId="1" fontId="14" fillId="7" borderId="4" xfId="0" applyFont="1" applyFill="1" applyBorder="1" applyAlignment="1">
      <alignment horizontal="left"/>
    </xf>
    <xf numFmtId="2" fontId="1" fillId="7" borderId="4" xfId="0" applyNumberFormat="1" applyFont="1" applyFill="1" applyBorder="1" applyAlignment="1">
      <alignment horizontal="right"/>
    </xf>
    <xf numFmtId="0" fontId="14" fillId="7" borderId="3" xfId="0" applyFont="1" applyFill="1" applyBorder="1" applyAlignment="1">
      <alignment horizontal="center"/>
    </xf>
    <xf numFmtId="1" fontId="13" fillId="7" borderId="0" xfId="0" applyNumberFormat="1" applyFont="1" applyFill="1" applyAlignment="1">
      <alignment horizontal="left"/>
    </xf>
    <xf numFmtId="1" fontId="13" fillId="7" borderId="0" xfId="0" applyFont="1" applyFill="1" applyBorder="1" applyAlignment="1">
      <alignment horizontal="left"/>
    </xf>
    <xf numFmtId="1" fontId="14" fillId="7" borderId="0" xfId="0" applyFont="1" applyFill="1" applyBorder="1" applyAlignment="1">
      <alignment horizontal="left"/>
    </xf>
    <xf numFmtId="1" fontId="4" fillId="0" borderId="0" xfId="0" applyAlignment="1">
      <alignment horizontal="right"/>
    </xf>
    <xf numFmtId="1" fontId="14" fillId="7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" fontId="3" fillId="0" borderId="0" xfId="0" applyFill="1" applyAlignment="1" applyProtection="1">
      <alignment horizontal="left"/>
      <protection/>
    </xf>
    <xf numFmtId="1" fontId="0" fillId="0" borderId="0" xfId="0" applyFill="1" applyAlignment="1" applyProtection="1">
      <alignment horizontal="right"/>
      <protection/>
    </xf>
    <xf numFmtId="2" fontId="0" fillId="0" borderId="0" xfId="0" applyNumberFormat="1" applyFill="1" applyAlignment="1" applyProtection="1">
      <alignment horizontal="right"/>
      <protection/>
    </xf>
    <xf numFmtId="1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" fontId="0" fillId="0" borderId="0" xfId="0" applyFill="1" applyAlignment="1" applyProtection="1">
      <alignment/>
      <protection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92"/>
          <c:w val="0.7342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CG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Sheet1!$V$4:$V$11</c:f>
              <c:numCache/>
            </c:numRef>
          </c:xVal>
          <c:yVal>
            <c:numRef>
              <c:f>Sheet1!$W$4:$W$11</c:f>
              <c:numCache/>
            </c:numRef>
          </c:yVal>
          <c:smooth val="0"/>
        </c:ser>
        <c:ser>
          <c:idx val="2"/>
          <c:order val="1"/>
          <c:tx>
            <c:v>Takeoff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Sheet1!$B$18</c:f>
              <c:numCache/>
            </c:numRef>
          </c:xVal>
          <c:yVal>
            <c:numRef>
              <c:f>Sheet1!$B$17</c:f>
              <c:numCache/>
            </c:numRef>
          </c:yVal>
          <c:smooth val="0"/>
        </c:ser>
        <c:ser>
          <c:idx val="1"/>
          <c:order val="2"/>
          <c:tx>
            <c:v>2 Hrs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Sheet1!$F$18</c:f>
              <c:numCache/>
            </c:numRef>
          </c:xVal>
          <c:yVal>
            <c:numRef>
              <c:f>Sheet1!$F$17</c:f>
              <c:numCache/>
            </c:numRef>
          </c:yVal>
          <c:smooth val="0"/>
        </c:ser>
        <c:axId val="62165570"/>
        <c:axId val="22619219"/>
      </c:scatterChart>
      <c:valAx>
        <c:axId val="62165570"/>
        <c:scaling>
          <c:orientation val="minMax"/>
          <c:max val="212"/>
          <c:min val="1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 G Ins Aft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2619219"/>
        <c:crossesAt val="6000"/>
        <c:crossBetween val="midCat"/>
        <c:dispUnits/>
        <c:majorUnit val="1"/>
        <c:minorUnit val="1"/>
      </c:valAx>
      <c:valAx>
        <c:axId val="22619219"/>
        <c:scaling>
          <c:orientation val="minMax"/>
          <c:max val="11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Gross Wt x 1000 Lb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165570"/>
        <c:crossesAt val="192"/>
        <c:crossBetween val="midCat"/>
        <c:dispUnits>
          <c:builtInUnit val="hundreds"/>
        </c:dispUnits>
        <c:majorUnit val="500"/>
        <c:min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816"/>
          <c:w val="0.23325"/>
          <c:h val="0.16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0</xdr:rowOff>
    </xdr:from>
    <xdr:to>
      <xdr:col>13</xdr:col>
      <xdr:colOff>180975</xdr:colOff>
      <xdr:row>22</xdr:row>
      <xdr:rowOff>0</xdr:rowOff>
    </xdr:to>
    <xdr:graphicFrame>
      <xdr:nvGraphicFramePr>
        <xdr:cNvPr id="1" name="Chart 6"/>
        <xdr:cNvGraphicFramePr/>
      </xdr:nvGraphicFramePr>
      <xdr:xfrm>
        <a:off x="4791075" y="161925"/>
        <a:ext cx="42100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6c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>
            <v>112.0985512951736</v>
          </cell>
          <cell r="F16">
            <v>111.99239952883867</v>
          </cell>
        </row>
        <row r="17">
          <cell r="B17">
            <v>1.4066179828359973</v>
          </cell>
          <cell r="F17">
            <v>1.7833710994429914</v>
          </cell>
          <cell r="W17">
            <v>114.2</v>
          </cell>
          <cell r="X17">
            <v>-3</v>
          </cell>
        </row>
        <row r="18">
          <cell r="W18">
            <v>108</v>
          </cell>
          <cell r="X18">
            <v>-3</v>
          </cell>
        </row>
        <row r="19">
          <cell r="W19">
            <v>106</v>
          </cell>
          <cell r="X19">
            <v>-2.3</v>
          </cell>
        </row>
        <row r="20">
          <cell r="W20">
            <v>106</v>
          </cell>
          <cell r="X20">
            <v>3</v>
          </cell>
        </row>
        <row r="21">
          <cell r="W21">
            <v>108</v>
          </cell>
          <cell r="X21">
            <v>4</v>
          </cell>
        </row>
        <row r="22">
          <cell r="W22">
            <v>114.2</v>
          </cell>
          <cell r="X22">
            <v>4</v>
          </cell>
        </row>
        <row r="26">
          <cell r="W26">
            <v>110</v>
          </cell>
          <cell r="X26">
            <v>-3</v>
          </cell>
        </row>
        <row r="27">
          <cell r="W27">
            <v>110</v>
          </cell>
          <cell r="X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3.8515625" style="0" customWidth="1"/>
    <col min="2" max="3" width="10.8515625" style="0" customWidth="1"/>
    <col min="4" max="4" width="12.140625" style="0" customWidth="1"/>
    <col min="5" max="5" width="11.421875" style="0" customWidth="1"/>
  </cols>
  <sheetData>
    <row r="1" spans="1:18" ht="12.75" customHeight="1">
      <c r="A1" s="49"/>
      <c r="B1" s="49"/>
      <c r="C1" s="49"/>
      <c r="D1" s="49"/>
      <c r="E1" s="49"/>
      <c r="F1" s="50"/>
      <c r="G1" s="51"/>
      <c r="H1" s="52"/>
      <c r="I1" s="52"/>
      <c r="J1" s="52"/>
      <c r="K1" s="49"/>
      <c r="L1" s="49"/>
      <c r="M1" s="49"/>
      <c r="N1" s="49"/>
      <c r="P1" s="1"/>
      <c r="Q1" s="1"/>
      <c r="R1" s="1"/>
    </row>
    <row r="2" spans="1:21" ht="12.75" customHeight="1">
      <c r="A2" s="73" t="s">
        <v>17</v>
      </c>
      <c r="B2" s="53">
        <f>IF(T2=1,7481,IF(T2=2,7430,IF(T2=3,7368.8,IF(T2=4,7543,IF(T2=5,7293,IF(T2=6,7293,IF(T2=7,7371,IF(T2&gt;=8,U2))))))))</f>
        <v>7558</v>
      </c>
      <c r="C2" s="49"/>
      <c r="D2" s="76" t="s">
        <v>41</v>
      </c>
      <c r="E2" s="54">
        <f>IF(T2=1,204.2,IF(T2=2,203.4,IF(T2=3,203.8,IF(T2=4,203.9,IF(T2=5,204.2,IF(T2=6,204.2,IF(T2=7,203.7,IF(T2&gt;=8,U3))))))))</f>
        <v>203.8</v>
      </c>
      <c r="F2" s="49"/>
      <c r="G2" s="49"/>
      <c r="H2" s="49"/>
      <c r="I2" s="49"/>
      <c r="J2" s="49"/>
      <c r="K2" s="49"/>
      <c r="L2" s="55"/>
      <c r="M2" s="56"/>
      <c r="N2" s="49"/>
      <c r="O2" s="2"/>
      <c r="P2" s="2"/>
      <c r="S2" s="2"/>
      <c r="T2" s="2">
        <v>10</v>
      </c>
      <c r="U2">
        <f>IF(T2=8,7371,IF(T2=9,7558,IF(T2=10,7558,IF(T2=11,7455,IF(T2=12,E8)))))</f>
        <v>7558</v>
      </c>
    </row>
    <row r="3" spans="1:29" ht="12.75" customHeight="1">
      <c r="A3" s="73" t="s">
        <v>37</v>
      </c>
      <c r="B3" s="57">
        <v>400</v>
      </c>
      <c r="C3" s="49"/>
      <c r="D3" s="76"/>
      <c r="E3" s="58"/>
      <c r="F3" s="49"/>
      <c r="G3" s="49"/>
      <c r="H3" s="49"/>
      <c r="I3" s="49"/>
      <c r="J3" s="49"/>
      <c r="K3" s="49"/>
      <c r="L3" s="55"/>
      <c r="M3" s="49"/>
      <c r="N3" s="49"/>
      <c r="S3" t="s">
        <v>18</v>
      </c>
      <c r="U3">
        <f>IF(T2=8,203.7,IF(T2=9,203.8,IF(T2=10,203.8,IF(T2=11,203.4,IF(T2=12,E9)))))</f>
        <v>203.8</v>
      </c>
      <c r="V3" s="7" t="s">
        <v>49</v>
      </c>
      <c r="W3" s="5"/>
      <c r="AB3" s="10"/>
      <c r="AC3" s="11"/>
    </row>
    <row r="4" spans="1:29" ht="12.75" customHeight="1">
      <c r="A4" s="73"/>
      <c r="B4" s="57"/>
      <c r="C4" s="49"/>
      <c r="D4" s="72"/>
      <c r="E4" s="49"/>
      <c r="F4" s="49"/>
      <c r="G4" s="49"/>
      <c r="H4" s="49"/>
      <c r="I4" s="49"/>
      <c r="J4" s="49"/>
      <c r="K4" s="49"/>
      <c r="L4" s="55"/>
      <c r="M4" s="49"/>
      <c r="N4" s="49"/>
      <c r="S4" t="s">
        <v>19</v>
      </c>
      <c r="V4" s="8">
        <v>202</v>
      </c>
      <c r="W4" s="8">
        <v>6100</v>
      </c>
      <c r="AB4" s="5"/>
      <c r="AC4" s="5"/>
    </row>
    <row r="5" spans="1:29" ht="12.75" customHeight="1">
      <c r="A5" s="73" t="s">
        <v>38</v>
      </c>
      <c r="B5" s="57">
        <v>0</v>
      </c>
      <c r="C5" s="49"/>
      <c r="D5" s="72"/>
      <c r="E5" s="49"/>
      <c r="F5" s="49"/>
      <c r="G5" s="49"/>
      <c r="H5" s="49"/>
      <c r="I5" s="49"/>
      <c r="J5" s="49"/>
      <c r="K5" s="49"/>
      <c r="L5" s="55"/>
      <c r="M5" s="49"/>
      <c r="N5" s="49"/>
      <c r="S5" t="s">
        <v>20</v>
      </c>
      <c r="V5" s="8">
        <v>193</v>
      </c>
      <c r="W5" s="8">
        <v>6500</v>
      </c>
      <c r="AB5" s="5"/>
      <c r="AC5" s="5"/>
    </row>
    <row r="6" spans="1:29" ht="12.75" customHeight="1">
      <c r="A6" s="73" t="s">
        <v>39</v>
      </c>
      <c r="B6" s="57">
        <v>0</v>
      </c>
      <c r="C6" s="49"/>
      <c r="D6" s="77"/>
      <c r="E6" s="78"/>
      <c r="F6" s="54"/>
      <c r="G6" s="59"/>
      <c r="H6" s="49"/>
      <c r="I6" s="49"/>
      <c r="J6" s="60"/>
      <c r="K6" s="49"/>
      <c r="L6" s="55"/>
      <c r="M6" s="56"/>
      <c r="N6" s="49"/>
      <c r="S6" t="s">
        <v>21</v>
      </c>
      <c r="V6" s="9">
        <v>193</v>
      </c>
      <c r="W6" s="8">
        <v>8500</v>
      </c>
      <c r="AB6" s="6"/>
      <c r="AC6" s="5"/>
    </row>
    <row r="7" spans="1:29" ht="12.75" customHeight="1">
      <c r="A7" s="73" t="s">
        <v>40</v>
      </c>
      <c r="B7" s="57">
        <v>0</v>
      </c>
      <c r="C7" s="49"/>
      <c r="D7" s="79"/>
      <c r="E7" s="80"/>
      <c r="F7" s="54"/>
      <c r="G7" s="59"/>
      <c r="H7" s="49"/>
      <c r="I7" s="49"/>
      <c r="J7" s="49"/>
      <c r="K7" s="49"/>
      <c r="L7" s="55"/>
      <c r="M7" s="56"/>
      <c r="N7" s="49"/>
      <c r="S7" t="s">
        <v>22</v>
      </c>
      <c r="V7" s="9">
        <v>198.3</v>
      </c>
      <c r="W7" s="8">
        <v>10500</v>
      </c>
      <c r="AB7" s="6"/>
      <c r="AC7" s="5"/>
    </row>
    <row r="8" spans="2:29" ht="12.75" customHeight="1">
      <c r="B8" s="57"/>
      <c r="C8" s="49"/>
      <c r="D8" s="82" t="s">
        <v>44</v>
      </c>
      <c r="E8" s="75">
        <v>7000</v>
      </c>
      <c r="F8" s="49"/>
      <c r="G8" s="49"/>
      <c r="H8" s="49"/>
      <c r="I8" s="49"/>
      <c r="J8" s="49"/>
      <c r="K8" s="49"/>
      <c r="L8" s="61"/>
      <c r="M8" s="49"/>
      <c r="N8" s="49"/>
      <c r="S8" t="s">
        <v>23</v>
      </c>
      <c r="V8" s="9">
        <v>204.3</v>
      </c>
      <c r="W8" s="8">
        <v>10500</v>
      </c>
      <c r="AB8" s="6"/>
      <c r="AC8" s="5"/>
    </row>
    <row r="9" spans="1:29" ht="12.75" customHeight="1">
      <c r="A9" s="73" t="s">
        <v>35</v>
      </c>
      <c r="B9" s="57">
        <v>0</v>
      </c>
      <c r="C9" s="49"/>
      <c r="D9" s="83" t="s">
        <v>29</v>
      </c>
      <c r="E9" s="75">
        <v>200</v>
      </c>
      <c r="F9" s="49"/>
      <c r="G9" s="60"/>
      <c r="H9" s="49"/>
      <c r="I9" s="49"/>
      <c r="J9" s="49"/>
      <c r="K9" s="49"/>
      <c r="L9" s="55"/>
      <c r="M9" s="49"/>
      <c r="N9" s="49"/>
      <c r="S9" t="s">
        <v>24</v>
      </c>
      <c r="V9" s="9">
        <v>210</v>
      </c>
      <c r="W9" s="8">
        <v>8700</v>
      </c>
      <c r="AB9" s="6"/>
      <c r="AC9" s="5"/>
    </row>
    <row r="10" spans="1:29" ht="12.75" customHeight="1">
      <c r="A10" s="73" t="s">
        <v>2</v>
      </c>
      <c r="B10" s="57">
        <v>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S10" t="s">
        <v>25</v>
      </c>
      <c r="V10" s="8">
        <v>210</v>
      </c>
      <c r="W10" s="8">
        <v>6780</v>
      </c>
      <c r="AB10" s="5"/>
      <c r="AC10" s="5"/>
    </row>
    <row r="11" spans="1:23" ht="12.75" customHeight="1">
      <c r="A11" s="74" t="s">
        <v>46</v>
      </c>
      <c r="B11" s="57">
        <v>2.5</v>
      </c>
      <c r="C11" s="49"/>
      <c r="D11" s="74" t="s">
        <v>30</v>
      </c>
      <c r="E11" s="75"/>
      <c r="F11" s="49"/>
      <c r="G11" s="60"/>
      <c r="H11" s="60"/>
      <c r="I11" s="60"/>
      <c r="J11" s="60"/>
      <c r="K11" s="49"/>
      <c r="L11" s="49"/>
      <c r="M11" s="49"/>
      <c r="N11" s="49"/>
      <c r="S11" t="s">
        <v>26</v>
      </c>
      <c r="V11" s="9">
        <v>202</v>
      </c>
      <c r="W11" s="8">
        <v>6100</v>
      </c>
    </row>
    <row r="12" spans="1:19" ht="12.75" customHeight="1">
      <c r="A12" s="74" t="s">
        <v>47</v>
      </c>
      <c r="B12" s="57">
        <v>5</v>
      </c>
      <c r="C12" s="49"/>
      <c r="D12" s="84" t="s">
        <v>48</v>
      </c>
      <c r="E12" s="75">
        <f>IF(S26=1,6.99,IF(S26=2,6.88,IF(S26=3,6.78,IF(S26=4,6.68,IF(S26=5,6.6,6.68)))))</f>
        <v>6.6</v>
      </c>
      <c r="F12" s="49"/>
      <c r="G12" s="60"/>
      <c r="H12" s="62"/>
      <c r="I12" s="63"/>
      <c r="J12" s="60"/>
      <c r="K12" s="49"/>
      <c r="L12" s="49"/>
      <c r="M12" s="49"/>
      <c r="N12" s="49"/>
      <c r="S12" t="s">
        <v>27</v>
      </c>
    </row>
    <row r="13" spans="1:28" ht="12.75" customHeight="1">
      <c r="A13" s="49"/>
      <c r="B13" s="49"/>
      <c r="C13" s="49"/>
      <c r="D13" s="49"/>
      <c r="E13" s="49"/>
      <c r="F13" s="49"/>
      <c r="G13" s="60"/>
      <c r="H13" s="62"/>
      <c r="I13" s="63"/>
      <c r="J13" s="60"/>
      <c r="K13" s="49"/>
      <c r="L13" s="49"/>
      <c r="M13" s="49"/>
      <c r="N13" s="49"/>
      <c r="S13" t="s">
        <v>28</v>
      </c>
      <c r="AB13" s="87"/>
    </row>
    <row r="14" spans="1:19" ht="12.75" customHeight="1">
      <c r="A14" s="73" t="s">
        <v>50</v>
      </c>
      <c r="B14" s="43">
        <v>175</v>
      </c>
      <c r="C14" s="13">
        <f>E35/E12</f>
        <v>140.9090909090909</v>
      </c>
      <c r="D14" s="14">
        <f>H35/E12</f>
        <v>106.81818181818183</v>
      </c>
      <c r="E14" s="16">
        <f>K35/E12</f>
        <v>72.72727272727273</v>
      </c>
      <c r="F14" s="18">
        <f>N35/E12</f>
        <v>38.63636363636364</v>
      </c>
      <c r="G14" s="60"/>
      <c r="H14" s="62"/>
      <c r="I14" s="63"/>
      <c r="J14" s="60"/>
      <c r="K14" s="49"/>
      <c r="L14" s="49"/>
      <c r="M14" s="49"/>
      <c r="N14" s="49"/>
      <c r="S14" t="s">
        <v>29</v>
      </c>
    </row>
    <row r="15" spans="1:14" ht="12.75" customHeight="1">
      <c r="A15" s="73"/>
      <c r="B15" s="64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2.75" customHeight="1">
      <c r="A16" s="7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0" ht="12.75" customHeight="1">
      <c r="A17" s="86" t="s">
        <v>11</v>
      </c>
      <c r="B17" s="67">
        <f>B37</f>
        <v>9142.7</v>
      </c>
      <c r="C17" s="68">
        <f>E37</f>
        <v>8917.7</v>
      </c>
      <c r="D17" s="69">
        <f>H37</f>
        <v>8692.7</v>
      </c>
      <c r="E17" s="70">
        <f>K37</f>
        <v>8467.7</v>
      </c>
      <c r="F17" s="71">
        <f>N37</f>
        <v>8242.7</v>
      </c>
      <c r="G17" s="65"/>
      <c r="H17" s="4"/>
      <c r="I17" s="3"/>
      <c r="J17" s="20"/>
    </row>
    <row r="18" spans="1:19" ht="12.75" customHeight="1">
      <c r="A18" s="74" t="s">
        <v>1</v>
      </c>
      <c r="B18" s="44">
        <f>D37/B37</f>
        <v>200.86605926039354</v>
      </c>
      <c r="C18" s="12">
        <f>G37/E37</f>
        <v>200.47160366462205</v>
      </c>
      <c r="D18" s="15">
        <f>J37/H37</f>
        <v>200.0567280591761</v>
      </c>
      <c r="E18" s="17">
        <f>M37/K37</f>
        <v>199.61980466950882</v>
      </c>
      <c r="F18" s="19">
        <f>P37/N37</f>
        <v>199.15902798840185</v>
      </c>
      <c r="G18" s="65"/>
      <c r="H18" s="4"/>
      <c r="I18" s="3"/>
      <c r="J18" s="20"/>
      <c r="S18">
        <v>1</v>
      </c>
    </row>
    <row r="19" spans="1:22" ht="12.75" customHeight="1">
      <c r="A19" s="74"/>
      <c r="B19" s="44"/>
      <c r="C19" s="12"/>
      <c r="D19" s="15"/>
      <c r="E19" s="17"/>
      <c r="F19" s="19"/>
      <c r="G19" s="65"/>
      <c r="H19" s="4"/>
      <c r="I19" s="3"/>
      <c r="J19" s="20"/>
      <c r="S19" t="s">
        <v>8</v>
      </c>
      <c r="V19">
        <f>281.2*E12</f>
        <v>1855.9199999999998</v>
      </c>
    </row>
    <row r="20" spans="1:19" ht="12.75" customHeight="1">
      <c r="A20" s="74" t="s">
        <v>3</v>
      </c>
      <c r="B20" s="43">
        <f>10500-B37</f>
        <v>1357.2999999999993</v>
      </c>
      <c r="C20" s="13">
        <f>10500-E37</f>
        <v>1582.2999999999993</v>
      </c>
      <c r="D20" s="14">
        <f>10500-H37</f>
        <v>1807.2999999999993</v>
      </c>
      <c r="E20" s="16">
        <f>10500-K37</f>
        <v>2032.2999999999993</v>
      </c>
      <c r="F20" s="18">
        <f>10500-N37</f>
        <v>2257.2999999999993</v>
      </c>
      <c r="G20" s="65"/>
      <c r="H20" s="4"/>
      <c r="I20" s="3"/>
      <c r="J20" s="20"/>
      <c r="S20" t="s">
        <v>9</v>
      </c>
    </row>
    <row r="21" spans="1:19" ht="12.75" customHeight="1">
      <c r="A21" s="49"/>
      <c r="B21" s="81" t="s">
        <v>12</v>
      </c>
      <c r="C21" s="81" t="s">
        <v>13</v>
      </c>
      <c r="D21" s="81" t="s">
        <v>14</v>
      </c>
      <c r="E21" s="81" t="s">
        <v>15</v>
      </c>
      <c r="F21" s="81" t="s">
        <v>16</v>
      </c>
      <c r="G21" s="65"/>
      <c r="H21" s="66"/>
      <c r="I21" s="54"/>
      <c r="J21" s="59"/>
      <c r="K21" s="49"/>
      <c r="L21" s="49"/>
      <c r="M21" s="49"/>
      <c r="N21" s="49"/>
      <c r="S21" t="s">
        <v>10</v>
      </c>
    </row>
    <row r="22" spans="1:14" ht="12.75" customHeight="1">
      <c r="A22" s="49"/>
      <c r="B22" s="49"/>
      <c r="C22" s="49"/>
      <c r="D22" s="49"/>
      <c r="E22" s="49"/>
      <c r="F22" s="49"/>
      <c r="G22" s="65"/>
      <c r="H22" s="66"/>
      <c r="I22" s="54"/>
      <c r="J22" s="59"/>
      <c r="K22" s="49"/>
      <c r="L22" s="49"/>
      <c r="M22" s="49"/>
      <c r="N22" s="49"/>
    </row>
    <row r="23" spans="1:14" ht="12.75" customHeight="1">
      <c r="A23" s="49" t="s">
        <v>51</v>
      </c>
      <c r="B23" s="49"/>
      <c r="C23" s="49"/>
      <c r="D23" s="49"/>
      <c r="E23" s="49"/>
      <c r="F23" s="49"/>
      <c r="G23" s="65"/>
      <c r="H23" s="66"/>
      <c r="I23" s="54"/>
      <c r="J23" s="59"/>
      <c r="K23" s="49"/>
      <c r="L23" s="49"/>
      <c r="M23" s="49"/>
      <c r="N23" s="49"/>
    </row>
    <row r="24" spans="2:19" ht="12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>
        <f>IF(T2=1,47,IF(T2=2,44,IF(T2=3,500,IF(T2=4,206,""))))</f>
      </c>
    </row>
    <row r="25" spans="1:16" ht="12.75" customHeight="1">
      <c r="A25" s="21" t="s">
        <v>4</v>
      </c>
      <c r="B25" s="22" t="s">
        <v>0</v>
      </c>
      <c r="C25" s="22" t="s">
        <v>5</v>
      </c>
      <c r="D25" s="22" t="s">
        <v>6</v>
      </c>
      <c r="E25" s="22" t="s">
        <v>0</v>
      </c>
      <c r="F25" s="22" t="s">
        <v>5</v>
      </c>
      <c r="G25" s="22" t="s">
        <v>6</v>
      </c>
      <c r="H25" s="22" t="s">
        <v>0</v>
      </c>
      <c r="I25" s="22" t="s">
        <v>5</v>
      </c>
      <c r="J25" s="22" t="s">
        <v>6</v>
      </c>
      <c r="K25" s="22" t="s">
        <v>0</v>
      </c>
      <c r="L25" s="22" t="s">
        <v>5</v>
      </c>
      <c r="M25" s="22" t="s">
        <v>6</v>
      </c>
      <c r="N25" s="22" t="s">
        <v>0</v>
      </c>
      <c r="O25" s="22" t="s">
        <v>5</v>
      </c>
      <c r="P25" s="22" t="s">
        <v>6</v>
      </c>
    </row>
    <row r="26" spans="1:19" ht="12.75" customHeight="1">
      <c r="A26" s="23" t="s">
        <v>7</v>
      </c>
      <c r="B26" s="45">
        <f>$B$2</f>
        <v>7558</v>
      </c>
      <c r="C26" s="46">
        <f>$E$2</f>
        <v>203.8</v>
      </c>
      <c r="D26" s="47">
        <f aca="true" t="shared" si="0" ref="D26:D36">B26*C26</f>
        <v>1540320.4000000001</v>
      </c>
      <c r="E26" s="24">
        <f>$B$2</f>
        <v>7558</v>
      </c>
      <c r="F26" s="25">
        <f>$E$2</f>
        <v>203.8</v>
      </c>
      <c r="G26" s="26">
        <f aca="true" t="shared" si="1" ref="G26:G36">E26*F26</f>
        <v>1540320.4000000001</v>
      </c>
      <c r="H26" s="27">
        <f>$B$2</f>
        <v>7558</v>
      </c>
      <c r="I26" s="28">
        <f>$E$2</f>
        <v>203.8</v>
      </c>
      <c r="J26" s="29">
        <f aca="true" t="shared" si="2" ref="J26:J36">H26*I26</f>
        <v>1540320.4000000001</v>
      </c>
      <c r="K26" s="30">
        <f>$B$2</f>
        <v>7558</v>
      </c>
      <c r="L26" s="31">
        <f>$E$2</f>
        <v>203.8</v>
      </c>
      <c r="M26" s="32">
        <f aca="true" t="shared" si="3" ref="M26:M36">K26*L26</f>
        <v>1540320.4000000001</v>
      </c>
      <c r="N26" s="33">
        <f>$B$2</f>
        <v>7558</v>
      </c>
      <c r="O26" s="34">
        <f>$E$2</f>
        <v>203.8</v>
      </c>
      <c r="P26" s="35">
        <f aca="true" t="shared" si="4" ref="P26:P36">N26*O26</f>
        <v>1540320.4000000001</v>
      </c>
      <c r="S26">
        <v>5</v>
      </c>
    </row>
    <row r="27" spans="1:19" ht="12.75" customHeight="1">
      <c r="A27" s="36" t="s">
        <v>42</v>
      </c>
      <c r="B27" s="45">
        <f>$B$3</f>
        <v>400</v>
      </c>
      <c r="C27" s="46">
        <v>102.5</v>
      </c>
      <c r="D27" s="47">
        <f t="shared" si="0"/>
        <v>41000</v>
      </c>
      <c r="E27" s="24">
        <f>$B$3</f>
        <v>400</v>
      </c>
      <c r="F27" s="25">
        <v>102.5</v>
      </c>
      <c r="G27" s="26">
        <f t="shared" si="1"/>
        <v>41000</v>
      </c>
      <c r="H27" s="27">
        <f>$B$3</f>
        <v>400</v>
      </c>
      <c r="I27" s="28">
        <v>102.5</v>
      </c>
      <c r="J27" s="29">
        <f t="shared" si="2"/>
        <v>41000</v>
      </c>
      <c r="K27" s="30">
        <f>$B$3</f>
        <v>400</v>
      </c>
      <c r="L27" s="31">
        <v>102.5</v>
      </c>
      <c r="M27" s="32">
        <f t="shared" si="3"/>
        <v>41000</v>
      </c>
      <c r="N27" s="33">
        <f>$B$3</f>
        <v>400</v>
      </c>
      <c r="O27" s="34">
        <v>102.5</v>
      </c>
      <c r="P27" s="35">
        <f t="shared" si="4"/>
        <v>41000</v>
      </c>
      <c r="S27" s="85">
        <v>-40</v>
      </c>
    </row>
    <row r="28" spans="1:19" ht="12.75" customHeight="1">
      <c r="A28" s="36" t="s">
        <v>32</v>
      </c>
      <c r="B28" s="45">
        <f>$B$5</f>
        <v>0</v>
      </c>
      <c r="C28" s="46">
        <v>135.5</v>
      </c>
      <c r="D28" s="47">
        <f t="shared" si="0"/>
        <v>0</v>
      </c>
      <c r="E28" s="24">
        <f>$B$5</f>
        <v>0</v>
      </c>
      <c r="F28" s="25">
        <v>135.5</v>
      </c>
      <c r="G28" s="26">
        <f t="shared" si="1"/>
        <v>0</v>
      </c>
      <c r="H28" s="27">
        <f>$B$5</f>
        <v>0</v>
      </c>
      <c r="I28" s="28">
        <v>135.5</v>
      </c>
      <c r="J28" s="29">
        <f t="shared" si="2"/>
        <v>0</v>
      </c>
      <c r="K28" s="30">
        <f>$B$5</f>
        <v>0</v>
      </c>
      <c r="L28" s="31">
        <v>135.5</v>
      </c>
      <c r="M28" s="32">
        <f t="shared" si="3"/>
        <v>0</v>
      </c>
      <c r="N28" s="33">
        <f>$B$5</f>
        <v>0</v>
      </c>
      <c r="O28" s="34">
        <v>135.5</v>
      </c>
      <c r="P28" s="35">
        <f t="shared" si="4"/>
        <v>0</v>
      </c>
      <c r="S28" s="85">
        <v>-20</v>
      </c>
    </row>
    <row r="29" spans="1:19" ht="12.75" customHeight="1">
      <c r="A29" s="36" t="s">
        <v>33</v>
      </c>
      <c r="B29" s="45">
        <f>$B$6</f>
        <v>0</v>
      </c>
      <c r="C29" s="46">
        <v>166.5</v>
      </c>
      <c r="D29" s="47">
        <f t="shared" si="0"/>
        <v>0</v>
      </c>
      <c r="E29" s="24">
        <f>$B$6</f>
        <v>0</v>
      </c>
      <c r="F29" s="25">
        <v>166.5</v>
      </c>
      <c r="G29" s="26">
        <f t="shared" si="1"/>
        <v>0</v>
      </c>
      <c r="H29" s="27">
        <f>$B$6</f>
        <v>0</v>
      </c>
      <c r="I29" s="28">
        <v>166.5</v>
      </c>
      <c r="J29" s="29">
        <f t="shared" si="2"/>
        <v>0</v>
      </c>
      <c r="K29" s="30">
        <f>$B$6</f>
        <v>0</v>
      </c>
      <c r="L29" s="31">
        <v>166.5</v>
      </c>
      <c r="M29" s="32">
        <f t="shared" si="3"/>
        <v>0</v>
      </c>
      <c r="N29" s="33">
        <f>$B$6</f>
        <v>0</v>
      </c>
      <c r="O29" s="34">
        <v>166.5</v>
      </c>
      <c r="P29" s="35">
        <f t="shared" si="4"/>
        <v>0</v>
      </c>
      <c r="S29" s="85">
        <v>0</v>
      </c>
    </row>
    <row r="30" spans="1:19" ht="12.75" customHeight="1">
      <c r="A30" s="36" t="s">
        <v>34</v>
      </c>
      <c r="B30" s="45">
        <f>$B$7</f>
        <v>0</v>
      </c>
      <c r="C30" s="46">
        <v>197.5</v>
      </c>
      <c r="D30" s="47">
        <f t="shared" si="0"/>
        <v>0</v>
      </c>
      <c r="E30" s="24">
        <f>$B$7</f>
        <v>0</v>
      </c>
      <c r="F30" s="25">
        <v>197.5</v>
      </c>
      <c r="G30" s="26">
        <f t="shared" si="1"/>
        <v>0</v>
      </c>
      <c r="H30" s="27">
        <f>$B$7</f>
        <v>0</v>
      </c>
      <c r="I30" s="28">
        <v>197.5</v>
      </c>
      <c r="J30" s="29">
        <f t="shared" si="2"/>
        <v>0</v>
      </c>
      <c r="K30" s="30">
        <f>$B$7</f>
        <v>0</v>
      </c>
      <c r="L30" s="31">
        <v>197.5</v>
      </c>
      <c r="M30" s="32">
        <f t="shared" si="3"/>
        <v>0</v>
      </c>
      <c r="N30" s="33">
        <f>$B$7</f>
        <v>0</v>
      </c>
      <c r="O30" s="34">
        <v>197.5</v>
      </c>
      <c r="P30" s="35">
        <f t="shared" si="4"/>
        <v>0</v>
      </c>
      <c r="S30" s="85">
        <v>15</v>
      </c>
    </row>
    <row r="31" spans="1:19" ht="12.75" customHeight="1">
      <c r="A31" s="36" t="s">
        <v>43</v>
      </c>
      <c r="B31" s="45">
        <f>$B$9</f>
        <v>0</v>
      </c>
      <c r="C31" s="46">
        <v>235</v>
      </c>
      <c r="D31" s="47">
        <f t="shared" si="0"/>
        <v>0</v>
      </c>
      <c r="E31" s="24">
        <f>$B$9</f>
        <v>0</v>
      </c>
      <c r="F31" s="25">
        <v>235</v>
      </c>
      <c r="G31" s="26">
        <f t="shared" si="1"/>
        <v>0</v>
      </c>
      <c r="H31" s="27">
        <f>$B$9</f>
        <v>0</v>
      </c>
      <c r="I31" s="28">
        <v>235</v>
      </c>
      <c r="J31" s="29">
        <f t="shared" si="2"/>
        <v>0</v>
      </c>
      <c r="K31" s="30">
        <f>$B$9</f>
        <v>0</v>
      </c>
      <c r="L31" s="31">
        <v>235</v>
      </c>
      <c r="M31" s="32">
        <f t="shared" si="3"/>
        <v>0</v>
      </c>
      <c r="N31" s="33">
        <f>$B$9</f>
        <v>0</v>
      </c>
      <c r="O31" s="34">
        <v>235</v>
      </c>
      <c r="P31" s="35">
        <f t="shared" si="4"/>
        <v>0</v>
      </c>
      <c r="S31" s="85">
        <v>30</v>
      </c>
    </row>
    <row r="32" spans="1:16" ht="12.75" customHeight="1">
      <c r="A32" s="36" t="s">
        <v>2</v>
      </c>
      <c r="B32" s="45">
        <f>$B$10</f>
        <v>0</v>
      </c>
      <c r="C32" s="46">
        <v>181.5</v>
      </c>
      <c r="D32" s="47">
        <f t="shared" si="0"/>
        <v>0</v>
      </c>
      <c r="E32" s="24">
        <f>$B$10</f>
        <v>0</v>
      </c>
      <c r="F32" s="25">
        <v>181.5</v>
      </c>
      <c r="G32" s="26">
        <f t="shared" si="1"/>
        <v>0</v>
      </c>
      <c r="H32" s="27">
        <f>$B$10</f>
        <v>0</v>
      </c>
      <c r="I32" s="28">
        <v>181.5</v>
      </c>
      <c r="J32" s="29">
        <f t="shared" si="2"/>
        <v>0</v>
      </c>
      <c r="K32" s="30">
        <f>$B$10</f>
        <v>0</v>
      </c>
      <c r="L32" s="31">
        <v>181.5</v>
      </c>
      <c r="M32" s="32">
        <f t="shared" si="3"/>
        <v>0</v>
      </c>
      <c r="N32" s="33">
        <f>$B$10</f>
        <v>0</v>
      </c>
      <c r="O32" s="34">
        <v>181.5</v>
      </c>
      <c r="P32" s="35">
        <f t="shared" si="4"/>
        <v>0</v>
      </c>
    </row>
    <row r="33" spans="1:16" ht="12.75" customHeight="1">
      <c r="A33" s="36" t="s">
        <v>31</v>
      </c>
      <c r="B33" s="45">
        <f>IF($B$11=1,7.7,IF($B$11=2,15.4,IF($B$11=2.5,19.3,)))</f>
        <v>19.3</v>
      </c>
      <c r="C33" s="46">
        <v>231</v>
      </c>
      <c r="D33" s="47">
        <f t="shared" si="0"/>
        <v>4458.3</v>
      </c>
      <c r="E33" s="24">
        <f>IF($B$11=1,7.7,IF($B$11=2,15.4,IF($B$11=2.5,19.3,)))</f>
        <v>19.3</v>
      </c>
      <c r="F33" s="25">
        <v>231</v>
      </c>
      <c r="G33" s="26">
        <f t="shared" si="1"/>
        <v>4458.3</v>
      </c>
      <c r="H33" s="27">
        <f>IF($B$11=1,7.7,IF($B$11=2,15.4,IF($B$11=2.5,19.3,)))</f>
        <v>19.3</v>
      </c>
      <c r="I33" s="28">
        <v>231</v>
      </c>
      <c r="J33" s="29">
        <f t="shared" si="2"/>
        <v>4458.3</v>
      </c>
      <c r="K33" s="30">
        <f>IF($B$11=1,7.7,IF($B$11=2,15.4,IF($B$11=2.5,19.3,)))</f>
        <v>19.3</v>
      </c>
      <c r="L33" s="31">
        <v>231</v>
      </c>
      <c r="M33" s="32">
        <f t="shared" si="3"/>
        <v>4458.3</v>
      </c>
      <c r="N33" s="33">
        <f>IF($B$11=1,7.7,IF($B$11=2,15.4,IF($B$11=2.5,19.3,)))</f>
        <v>19.3</v>
      </c>
      <c r="O33" s="34">
        <v>231</v>
      </c>
      <c r="P33" s="35">
        <f t="shared" si="4"/>
        <v>4458.3</v>
      </c>
    </row>
    <row r="34" spans="1:16" ht="12.75" customHeight="1">
      <c r="A34" s="36" t="s">
        <v>45</v>
      </c>
      <c r="B34" s="45">
        <f>IF($B$12=1,2.1,IF($B$12=2,4.2,IF($B$12=3,6.2,IF($B$12=4,8.3,IF($B$12=5,10.4,IF($B$12=5.2,10.8))))))</f>
        <v>10.4</v>
      </c>
      <c r="C34" s="46">
        <v>59.8</v>
      </c>
      <c r="D34" s="47">
        <f t="shared" si="0"/>
        <v>621.92</v>
      </c>
      <c r="E34" s="24">
        <f>IF($B$12=1,2.1,IF($B$12=2,4.2,IF($B$12=3,6.2,IF($B$12=4,8.3,IF($B$12=5,10.4,IF($B$12=5.2,10.8))))))</f>
        <v>10.4</v>
      </c>
      <c r="F34" s="25">
        <v>59.8</v>
      </c>
      <c r="G34" s="26">
        <f t="shared" si="1"/>
        <v>621.92</v>
      </c>
      <c r="H34" s="27">
        <f>IF($B$12=1,2.1,IF($B$12=2,4.2,IF($B$12=3,6.2,IF($B$12=4,8.3,IF($B$12=5,10.4,IF($B$12=5.2,10.8))))))</f>
        <v>10.4</v>
      </c>
      <c r="I34" s="28">
        <v>59.8</v>
      </c>
      <c r="J34" s="29">
        <f t="shared" si="2"/>
        <v>621.92</v>
      </c>
      <c r="K34" s="30">
        <f>IF($B$12=1,2.1,IF($B$12=2,4.2,IF($B$12=3,6.2,IF($B$12=4,8.3,IF($B$12=5,10.4,IF($B$12=5.2,10.8))))))</f>
        <v>10.4</v>
      </c>
      <c r="L34" s="31">
        <v>59.8</v>
      </c>
      <c r="M34" s="32">
        <f t="shared" si="3"/>
        <v>621.92</v>
      </c>
      <c r="N34" s="33">
        <f>IF($B$12=1,2.1,IF($B$12=2,4.2,IF($B$12=3,6.2,IF($B$12=4,8.3,IF($B$12=5,10.4,IF($B$12=5.2,10.8))))))</f>
        <v>10.4</v>
      </c>
      <c r="O34" s="34">
        <v>59.8</v>
      </c>
      <c r="P34" s="35">
        <f t="shared" si="4"/>
        <v>621.92</v>
      </c>
    </row>
    <row r="35" spans="1:16" ht="12.75" customHeight="1">
      <c r="A35" s="36" t="s">
        <v>36</v>
      </c>
      <c r="B35" s="45">
        <f>B14*E12</f>
        <v>1155</v>
      </c>
      <c r="C35" s="46">
        <f>IF($B$35&lt;=$V$19*25/100,215.1,IF($B$35&lt;=$V$19*50/100,216.1,IF($B$35&lt;=$V$19*75/100,216.5,216.7)))</f>
        <v>216.5</v>
      </c>
      <c r="D35" s="47">
        <f t="shared" si="0"/>
        <v>250057.5</v>
      </c>
      <c r="E35" s="24">
        <f>$B$35-225</f>
        <v>930</v>
      </c>
      <c r="F35" s="25">
        <f>IF($B$35&lt;=$V$19*25/100,215.1,IF($B$35&lt;=$V$19*50/100,216.1,IF($B$35&lt;=$V$19*75/100,216.5,216.7)))</f>
        <v>216.5</v>
      </c>
      <c r="G35" s="26">
        <f t="shared" si="1"/>
        <v>201345</v>
      </c>
      <c r="H35" s="27">
        <f>E35-225</f>
        <v>705</v>
      </c>
      <c r="I35" s="28">
        <f>IF($B$35&lt;=$V$19*25/100,215.1,IF($B$35&lt;=$V$19*50/100,216.1,IF($B$35&lt;=$V$19*75/100,216.5,216.7)))</f>
        <v>216.5</v>
      </c>
      <c r="J35" s="29">
        <f t="shared" si="2"/>
        <v>152632.5</v>
      </c>
      <c r="K35" s="30">
        <f>H35-225</f>
        <v>480</v>
      </c>
      <c r="L35" s="31">
        <f>IF($B$35&lt;=$V$19*25/100,215.1,IF($B$35&lt;=$V$19*50/100,216.1,IF($B$35&lt;=$V$19*75/100,216.5,216.7)))</f>
        <v>216.5</v>
      </c>
      <c r="M35" s="32">
        <f t="shared" si="3"/>
        <v>103920</v>
      </c>
      <c r="N35" s="33">
        <f>K35-225</f>
        <v>255</v>
      </c>
      <c r="O35" s="34">
        <f>IF($B$35&lt;=$V$19*25/100,215.1,IF($B$35&lt;=$V$19*50/100,216.1,IF($B$35&lt;=$V$19*75/100,216.5,216.7)))</f>
        <v>216.5</v>
      </c>
      <c r="P35" s="35">
        <f t="shared" si="4"/>
        <v>55207.5</v>
      </c>
    </row>
    <row r="36" spans="1:16" ht="12.75" customHeight="1">
      <c r="A36" s="36"/>
      <c r="B36" s="46"/>
      <c r="C36" s="46"/>
      <c r="D36" s="47"/>
      <c r="E36" s="25"/>
      <c r="F36" s="25"/>
      <c r="G36" s="26"/>
      <c r="H36" s="28"/>
      <c r="I36" s="28"/>
      <c r="J36" s="29"/>
      <c r="K36" s="31"/>
      <c r="L36" s="31"/>
      <c r="M36" s="32"/>
      <c r="N36" s="34"/>
      <c r="O36" s="34"/>
      <c r="P36" s="35"/>
    </row>
    <row r="37" spans="1:16" ht="12.75" customHeight="1">
      <c r="A37" s="37"/>
      <c r="B37" s="45">
        <f>SUM(B26:B36)</f>
        <v>9142.7</v>
      </c>
      <c r="C37" s="48"/>
      <c r="D37" s="47">
        <f>SUM(D26:D36)</f>
        <v>1836458.12</v>
      </c>
      <c r="E37" s="24">
        <f>SUM(E26:E36)</f>
        <v>8917.7</v>
      </c>
      <c r="F37" s="38"/>
      <c r="G37" s="26">
        <f>SUM(G26:G36)</f>
        <v>1787745.62</v>
      </c>
      <c r="H37" s="27">
        <f>SUM(H26:H36)</f>
        <v>8692.7</v>
      </c>
      <c r="I37" s="39"/>
      <c r="J37" s="29">
        <f>SUM(J26:J36)</f>
        <v>1739033.12</v>
      </c>
      <c r="K37" s="30">
        <f>SUM(K26:K36)</f>
        <v>8467.7</v>
      </c>
      <c r="L37" s="40"/>
      <c r="M37" s="32">
        <f>SUM(M26:M36)</f>
        <v>1690320.62</v>
      </c>
      <c r="N37" s="33">
        <f>SUM(N26:N36)</f>
        <v>8242.7</v>
      </c>
      <c r="O37" s="41"/>
      <c r="P37" s="35">
        <f>SUM(P26:P36)</f>
        <v>1641608.12</v>
      </c>
    </row>
    <row r="38" spans="1:16" ht="12.75" customHeight="1">
      <c r="A38" s="42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37"/>
      <c r="O39" s="37"/>
      <c r="P39" s="37"/>
    </row>
    <row r="40" spans="1:16" ht="12.75" customHeight="1">
      <c r="A40" s="2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2.75" customHeight="1">
      <c r="A41" s="88"/>
      <c r="B41" s="89"/>
      <c r="C41" s="90"/>
      <c r="D41" s="89"/>
      <c r="E41" s="89"/>
      <c r="F41" s="90"/>
      <c r="G41" s="89"/>
      <c r="H41" s="89"/>
      <c r="I41" s="90"/>
      <c r="J41" s="89"/>
      <c r="K41" s="89"/>
      <c r="L41" s="90"/>
      <c r="M41" s="89"/>
      <c r="N41" s="89"/>
      <c r="O41" s="90"/>
      <c r="P41" s="89"/>
    </row>
    <row r="42" spans="1:16" ht="14.25" customHeight="1">
      <c r="A42" s="91"/>
      <c r="B42" s="89"/>
      <c r="C42" s="90"/>
      <c r="D42" s="89"/>
      <c r="E42" s="89"/>
      <c r="F42" s="90"/>
      <c r="G42" s="89"/>
      <c r="H42" s="89"/>
      <c r="I42" s="90"/>
      <c r="J42" s="89"/>
      <c r="K42" s="89"/>
      <c r="L42" s="90"/>
      <c r="M42" s="89"/>
      <c r="N42" s="89"/>
      <c r="O42" s="90"/>
      <c r="P42" s="89"/>
    </row>
    <row r="43" spans="1:16" ht="12.75" customHeight="1">
      <c r="A43" s="91"/>
      <c r="B43" s="89"/>
      <c r="C43" s="90"/>
      <c r="D43" s="89"/>
      <c r="E43" s="89"/>
      <c r="F43" s="90"/>
      <c r="G43" s="89"/>
      <c r="H43" s="89"/>
      <c r="I43" s="90"/>
      <c r="J43" s="89"/>
      <c r="K43" s="89"/>
      <c r="L43" s="90"/>
      <c r="M43" s="89"/>
      <c r="N43" s="89"/>
      <c r="O43" s="90"/>
      <c r="P43" s="89"/>
    </row>
    <row r="44" spans="1:16" ht="12.75" customHeight="1">
      <c r="A44" s="91"/>
      <c r="B44" s="89"/>
      <c r="C44" s="90"/>
      <c r="D44" s="89"/>
      <c r="E44" s="89"/>
      <c r="F44" s="90"/>
      <c r="G44" s="89"/>
      <c r="H44" s="89"/>
      <c r="I44" s="90"/>
      <c r="J44" s="89"/>
      <c r="K44" s="89"/>
      <c r="L44" s="90"/>
      <c r="M44" s="89"/>
      <c r="N44" s="89"/>
      <c r="O44" s="90"/>
      <c r="P44" s="89"/>
    </row>
    <row r="45" spans="1:16" ht="12.75" customHeight="1">
      <c r="A45" s="91"/>
      <c r="B45" s="89"/>
      <c r="C45" s="90"/>
      <c r="D45" s="89"/>
      <c r="E45" s="89"/>
      <c r="F45" s="90"/>
      <c r="G45" s="89"/>
      <c r="H45" s="89"/>
      <c r="I45" s="90"/>
      <c r="J45" s="89"/>
      <c r="K45" s="89"/>
      <c r="L45" s="90"/>
      <c r="M45" s="89"/>
      <c r="N45" s="89"/>
      <c r="O45" s="90"/>
      <c r="P45" s="89"/>
    </row>
    <row r="46" spans="1:16" ht="12.75" customHeight="1">
      <c r="A46" s="91"/>
      <c r="B46" s="89"/>
      <c r="C46" s="90"/>
      <c r="D46" s="89"/>
      <c r="E46" s="89"/>
      <c r="F46" s="90"/>
      <c r="G46" s="89"/>
      <c r="H46" s="89"/>
      <c r="I46" s="90"/>
      <c r="J46" s="89"/>
      <c r="K46" s="89"/>
      <c r="L46" s="90"/>
      <c r="M46" s="89"/>
      <c r="N46" s="89"/>
      <c r="O46" s="90"/>
      <c r="P46" s="89"/>
    </row>
    <row r="47" spans="1:16" ht="12.75" customHeight="1">
      <c r="A47" s="91"/>
      <c r="B47" s="89"/>
      <c r="C47" s="90"/>
      <c r="D47" s="89"/>
      <c r="E47" s="89"/>
      <c r="F47" s="90"/>
      <c r="G47" s="89"/>
      <c r="H47" s="89"/>
      <c r="I47" s="90"/>
      <c r="J47" s="89"/>
      <c r="K47" s="89"/>
      <c r="L47" s="90"/>
      <c r="M47" s="89"/>
      <c r="N47" s="89"/>
      <c r="O47" s="90"/>
      <c r="P47" s="89"/>
    </row>
    <row r="48" spans="1:16" ht="12.75" customHeight="1">
      <c r="A48" s="91"/>
      <c r="B48" s="89"/>
      <c r="C48" s="90"/>
      <c r="D48" s="89"/>
      <c r="E48" s="89"/>
      <c r="F48" s="90"/>
      <c r="G48" s="89"/>
      <c r="H48" s="89"/>
      <c r="I48" s="90"/>
      <c r="J48" s="89"/>
      <c r="K48" s="89"/>
      <c r="L48" s="90"/>
      <c r="M48" s="89"/>
      <c r="N48" s="89"/>
      <c r="O48" s="90"/>
      <c r="P48" s="89"/>
    </row>
    <row r="49" spans="1:16" ht="12.75" customHeight="1">
      <c r="A49" s="91"/>
      <c r="B49" s="89"/>
      <c r="C49" s="90"/>
      <c r="D49" s="89"/>
      <c r="E49" s="89"/>
      <c r="F49" s="90"/>
      <c r="G49" s="89"/>
      <c r="H49" s="89"/>
      <c r="I49" s="90"/>
      <c r="J49" s="89"/>
      <c r="K49" s="89"/>
      <c r="L49" s="90"/>
      <c r="M49" s="89"/>
      <c r="N49" s="89"/>
      <c r="O49" s="90"/>
      <c r="P49" s="89"/>
    </row>
    <row r="50" spans="1:16" ht="12.75" customHeight="1">
      <c r="A50" s="92"/>
      <c r="B50" s="89"/>
      <c r="C50" s="93"/>
      <c r="D50" s="89"/>
      <c r="E50" s="89"/>
      <c r="F50" s="93"/>
      <c r="G50" s="89"/>
      <c r="H50" s="89"/>
      <c r="I50" s="93"/>
      <c r="J50" s="89"/>
      <c r="K50" s="89"/>
      <c r="L50" s="93"/>
      <c r="M50" s="89"/>
      <c r="N50" s="89"/>
      <c r="O50" s="93"/>
      <c r="P50" s="89"/>
    </row>
    <row r="51" spans="1:16" ht="12.7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</sheetData>
  <printOptions gridLines="1" headings="1"/>
  <pageMargins left="1.25" right="1.25" top="1.25" bottom="1.25" header="0.5" footer="0.5"/>
  <pageSetup horizontalDpi="300" verticalDpi="300" orientation="landscape" paperSize="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User</cp:lastModifiedBy>
  <cp:lastPrinted>2002-01-23T13:33:05Z</cp:lastPrinted>
  <dcterms:created xsi:type="dcterms:W3CDTF">2001-05-27T17:28:30Z</dcterms:created>
  <dcterms:modified xsi:type="dcterms:W3CDTF">2002-01-31T18:03:51Z</dcterms:modified>
  <cp:category/>
  <cp:version/>
  <cp:contentType/>
  <cp:contentStatus/>
</cp:coreProperties>
</file>