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615" windowHeight="8175" activeTab="0"/>
  </bookViews>
  <sheets>
    <sheet name="LatLong-&gt;UTM" sheetId="1" r:id="rId1"/>
  </sheets>
  <definedNames/>
  <calcPr fullCalcOnLoad="1"/>
</workbook>
</file>

<file path=xl/sharedStrings.xml><?xml version="1.0" encoding="utf-8"?>
<sst xmlns="http://schemas.openxmlformats.org/spreadsheetml/2006/main" count="110" uniqueCount="50">
  <si>
    <t>deg</t>
  </si>
  <si>
    <t>deg (N = +, S = -)</t>
  </si>
  <si>
    <t>deg (E = +, W = -)</t>
  </si>
  <si>
    <t>a</t>
  </si>
  <si>
    <t>e2</t>
  </si>
  <si>
    <t>N</t>
  </si>
  <si>
    <t>NAD27</t>
  </si>
  <si>
    <t>Datum</t>
  </si>
  <si>
    <t>k0</t>
  </si>
  <si>
    <t>1/f</t>
  </si>
  <si>
    <t>Latitude</t>
  </si>
  <si>
    <t>Longitude</t>
  </si>
  <si>
    <t>radians</t>
  </si>
  <si>
    <t>e'2</t>
  </si>
  <si>
    <t>Zone</t>
  </si>
  <si>
    <t>LongOrigin</t>
  </si>
  <si>
    <t>T</t>
  </si>
  <si>
    <t>C</t>
  </si>
  <si>
    <t>A</t>
  </si>
  <si>
    <t>M</t>
  </si>
  <si>
    <t>UTM Easting</t>
  </si>
  <si>
    <t>UTM Northing</t>
  </si>
  <si>
    <t>LongTemp</t>
  </si>
  <si>
    <t>Northing</t>
  </si>
  <si>
    <t>Easting</t>
  </si>
  <si>
    <t>min</t>
  </si>
  <si>
    <t>sec</t>
  </si>
  <si>
    <t>WGS84</t>
  </si>
  <si>
    <t>mE</t>
  </si>
  <si>
    <t>mN</t>
  </si>
  <si>
    <t>e1</t>
  </si>
  <si>
    <t>x</t>
  </si>
  <si>
    <t>y</t>
  </si>
  <si>
    <t>LongOrig</t>
  </si>
  <si>
    <t>mu</t>
  </si>
  <si>
    <t>N1</t>
  </si>
  <si>
    <t>T1</t>
  </si>
  <si>
    <t>C1</t>
  </si>
  <si>
    <t>R1</t>
  </si>
  <si>
    <t>D</t>
  </si>
  <si>
    <t>phiRad</t>
  </si>
  <si>
    <t>phi</t>
  </si>
  <si>
    <t>W</t>
  </si>
  <si>
    <t>UTM (NAD 27) to Lat/Long</t>
  </si>
  <si>
    <t>UTM NAD 27</t>
  </si>
  <si>
    <t>UTM WGS 84</t>
  </si>
  <si>
    <t>Lat/Long - UTM</t>
  </si>
  <si>
    <t>Lat</t>
  </si>
  <si>
    <t>Long</t>
  </si>
  <si>
    <t>Decimal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</si>
</sst>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workbookViewId="0" topLeftCell="A1">
      <selection activeCell="B9" sqref="B9"/>
    </sheetView>
  </sheetViews>
  <sheetFormatPr defaultColWidth="9.140625" defaultRowHeight="12.75"/>
  <cols>
    <col min="2" max="2" width="11.57421875" style="0" customWidth="1"/>
    <col min="3" max="3" width="16.7109375" style="0" customWidth="1"/>
    <col min="4" max="4" width="13.140625" style="0" customWidth="1"/>
    <col min="5" max="5" width="12.57421875" style="0" customWidth="1"/>
    <col min="6" max="6" width="11.28125" style="0" customWidth="1"/>
    <col min="7" max="7" width="10.7109375" style="0" customWidth="1"/>
    <col min="8" max="8" width="11.421875" style="0" customWidth="1"/>
    <col min="9" max="9" width="10.7109375" style="0" customWidth="1"/>
  </cols>
  <sheetData>
    <row r="1" ht="13.5" thickBot="1"/>
    <row r="2" spans="1:15" ht="12.75">
      <c r="A2" s="19" t="s">
        <v>24</v>
      </c>
      <c r="B2" s="25">
        <v>411000</v>
      </c>
      <c r="C2" t="s">
        <v>28</v>
      </c>
      <c r="D2" s="10" t="s">
        <v>43</v>
      </c>
      <c r="G2" s="1" t="s">
        <v>7</v>
      </c>
      <c r="H2" s="2" t="s">
        <v>6</v>
      </c>
      <c r="N2" s="1" t="s">
        <v>7</v>
      </c>
      <c r="O2" s="2" t="s">
        <v>6</v>
      </c>
    </row>
    <row r="3" spans="1:15" ht="12.75">
      <c r="A3" s="19" t="s">
        <v>23</v>
      </c>
      <c r="B3" s="25">
        <v>5604000</v>
      </c>
      <c r="C3" t="s">
        <v>29</v>
      </c>
      <c r="G3" s="3" t="s">
        <v>3</v>
      </c>
      <c r="H3" s="4">
        <v>6378206.4</v>
      </c>
      <c r="N3" s="3" t="s">
        <v>3</v>
      </c>
      <c r="O3" s="4">
        <v>6378206.4</v>
      </c>
    </row>
    <row r="4" spans="1:15" ht="13.5" thickBot="1">
      <c r="A4" s="19" t="s">
        <v>14</v>
      </c>
      <c r="B4" s="25">
        <v>15</v>
      </c>
      <c r="G4" s="5" t="s">
        <v>9</v>
      </c>
      <c r="H4" s="6">
        <f>294.9786982</f>
        <v>294.9786982</v>
      </c>
      <c r="N4" s="5" t="s">
        <v>9</v>
      </c>
      <c r="O4" s="6">
        <f>294.9786982</f>
        <v>294.9786982</v>
      </c>
    </row>
    <row r="5" spans="7:17" ht="12.75">
      <c r="G5" t="s">
        <v>4</v>
      </c>
      <c r="H5">
        <f>2*(1/H4)-(1/H4)^2</f>
        <v>0.006768657997609644</v>
      </c>
      <c r="I5" t="s">
        <v>13</v>
      </c>
      <c r="J5">
        <f>+H5/(1-H5)</f>
        <v>0.006814784946237987</v>
      </c>
      <c r="N5" t="s">
        <v>4</v>
      </c>
      <c r="O5">
        <f>2*(1/O4)-(1/O4)^2</f>
        <v>0.006768657997609644</v>
      </c>
      <c r="P5" t="s">
        <v>13</v>
      </c>
      <c r="Q5">
        <f>+O5/(1-O5)</f>
        <v>0.006814784946237987</v>
      </c>
    </row>
    <row r="6" spans="2:17" ht="12.75">
      <c r="B6" s="22" t="s">
        <v>47</v>
      </c>
      <c r="C6" s="22" t="s">
        <v>48</v>
      </c>
      <c r="E6" s="8"/>
      <c r="G6" t="s">
        <v>8</v>
      </c>
      <c r="H6">
        <v>0.9996</v>
      </c>
      <c r="N6" t="s">
        <v>8</v>
      </c>
      <c r="O6">
        <v>0.9996</v>
      </c>
      <c r="P6" t="s">
        <v>30</v>
      </c>
      <c r="Q6">
        <f>+(1-SQRT(1-O5))/(1+SQRT(1-O5))</f>
        <v>0.0016979156830570403</v>
      </c>
    </row>
    <row r="7" spans="1:3" ht="12.75">
      <c r="A7" s="17" t="s">
        <v>0</v>
      </c>
      <c r="B7" s="23">
        <f>+'LatLong-&gt;UTM'!R19</f>
        <v>50</v>
      </c>
      <c r="C7" s="23">
        <f>+'LatLong-&gt;UTM'!S19</f>
        <v>94</v>
      </c>
    </row>
    <row r="8" spans="1:9" ht="12.75">
      <c r="A8" s="17" t="s">
        <v>25</v>
      </c>
      <c r="B8" s="23">
        <f>+'LatLong-&gt;UTM'!R20</f>
        <v>34</v>
      </c>
      <c r="C8" s="23">
        <f>+'LatLong-&gt;UTM'!S20</f>
        <v>15</v>
      </c>
      <c r="I8" t="s">
        <v>12</v>
      </c>
    </row>
    <row r="9" spans="1:18" ht="12.75">
      <c r="A9" s="17" t="s">
        <v>26</v>
      </c>
      <c r="B9" s="24">
        <f>+'LatLong-&gt;UTM'!R21</f>
        <v>59.11913351075441</v>
      </c>
      <c r="C9" s="24">
        <f>+'LatLong-&gt;UTM'!S21</f>
        <v>25.56345331052512</v>
      </c>
      <c r="G9" t="s">
        <v>10</v>
      </c>
      <c r="H9">
        <f>+'LatLong-&gt;UTM'!O28</f>
        <v>50.58761111111111</v>
      </c>
      <c r="I9">
        <f>RADIANS(H9)</f>
        <v>0.8829203746073558</v>
      </c>
      <c r="K9" t="s">
        <v>5</v>
      </c>
      <c r="L9">
        <f>+H3/(SQRT(1-H5*SIN(I9)*SIN(I9)))</f>
        <v>6391130.337188419</v>
      </c>
      <c r="N9" t="s">
        <v>24</v>
      </c>
      <c r="O9">
        <f>+'LatLong-&gt;UTM'!B2</f>
        <v>411000</v>
      </c>
      <c r="Q9" t="s">
        <v>35</v>
      </c>
      <c r="R9">
        <f>+O3/SQRT(1-O5*(SIN(O19))^2)</f>
        <v>6391131.178072894</v>
      </c>
    </row>
    <row r="10" spans="2:18" ht="12.75">
      <c r="B10" s="23" t="str">
        <f>IF(O32&lt;0,"S","N")</f>
        <v>N</v>
      </c>
      <c r="C10" s="23" t="str">
        <f>IF(O33&lt;0,"W","E")</f>
        <v>W</v>
      </c>
      <c r="G10" t="s">
        <v>11</v>
      </c>
      <c r="H10">
        <f>+'LatLong-&gt;UTM'!O29</f>
        <v>-94.25897222222223</v>
      </c>
      <c r="I10">
        <f>RADIANS(H10)</f>
        <v>-1.6451294148236542</v>
      </c>
      <c r="K10" t="s">
        <v>16</v>
      </c>
      <c r="L10">
        <f>(TAN(I9))^2</f>
        <v>1.4808051278157874</v>
      </c>
      <c r="N10" t="s">
        <v>23</v>
      </c>
      <c r="O10">
        <f>+'LatLong-&gt;UTM'!B3</f>
        <v>5604000</v>
      </c>
      <c r="Q10" t="s">
        <v>36</v>
      </c>
      <c r="R10">
        <f>(TAN(O19))^2</f>
        <v>1.4810434446978202</v>
      </c>
    </row>
    <row r="11" spans="7:18" ht="12.75">
      <c r="G11" t="s">
        <v>22</v>
      </c>
      <c r="H11">
        <f>+(H10+180)-INT((H10+180)/360)*360-180</f>
        <v>-94.25897222222223</v>
      </c>
      <c r="I11">
        <f>RADIANS(H11)</f>
        <v>-1.6451294148236542</v>
      </c>
      <c r="K11" t="s">
        <v>17</v>
      </c>
      <c r="L11">
        <f>+J5*(COS(I9))^2</f>
        <v>0.0027470053450905393</v>
      </c>
      <c r="N11" t="s">
        <v>14</v>
      </c>
      <c r="O11">
        <f>+'LatLong-&gt;UTM'!B4</f>
        <v>15</v>
      </c>
      <c r="Q11" t="s">
        <v>37</v>
      </c>
      <c r="R11">
        <f>+Q5*(COS(O19))^2</f>
        <v>0.0027467414812109413</v>
      </c>
    </row>
    <row r="12" spans="11:18" ht="12.75">
      <c r="K12" t="s">
        <v>18</v>
      </c>
      <c r="L12">
        <f>+(I10-I14)*COS(I9)</f>
        <v>-0.01395073824272719</v>
      </c>
      <c r="Q12" t="s">
        <v>38</v>
      </c>
      <c r="R12">
        <f>+O3*(1-O5)/((1-O5*SIN(O19)^2)^(3/2))</f>
        <v>6373624.479329857</v>
      </c>
    </row>
    <row r="13" spans="1:18" ht="12.75">
      <c r="A13" s="11"/>
      <c r="B13" s="20" t="s">
        <v>47</v>
      </c>
      <c r="C13" s="20" t="s">
        <v>48</v>
      </c>
      <c r="G13" t="s">
        <v>14</v>
      </c>
      <c r="H13">
        <f>+INT((H11+180)/6)+1</f>
        <v>15</v>
      </c>
      <c r="K13" t="s">
        <v>19</v>
      </c>
      <c r="L13">
        <f>+H3*((1-H5/4-3*(H5^2)/64-5*(H5^3)/256)*I9-(3*H5/8+3*(H5^2)/32+45*(H5^3)/1024)*SIN(2*I9)+(15*(H5^2)/256+45*(H5^3)/1024)*SIN(4*I9)-(35*(H5^3)/3072)*SIN(6*I9))</f>
        <v>5605990.938365338</v>
      </c>
      <c r="N13" t="s">
        <v>31</v>
      </c>
      <c r="O13">
        <f>+O9-500000</f>
        <v>-89000</v>
      </c>
      <c r="Q13" t="s">
        <v>39</v>
      </c>
      <c r="R13">
        <f>+O13/(R9*O6)</f>
        <v>-0.013931119822914513</v>
      </c>
    </row>
    <row r="14" spans="1:15" ht="12.75">
      <c r="A14" s="17" t="s">
        <v>0</v>
      </c>
      <c r="B14" s="18">
        <v>50</v>
      </c>
      <c r="C14" s="18">
        <v>94</v>
      </c>
      <c r="G14" t="s">
        <v>15</v>
      </c>
      <c r="H14">
        <f>+(H13-1)*6-180+3</f>
        <v>-93</v>
      </c>
      <c r="I14">
        <f>RADIANS(H14)</f>
        <v>-1.6231562043547265</v>
      </c>
      <c r="N14" t="s">
        <v>32</v>
      </c>
      <c r="O14">
        <f>+O10</f>
        <v>5604000</v>
      </c>
    </row>
    <row r="15" spans="1:19" ht="12.75">
      <c r="A15" s="17" t="s">
        <v>25</v>
      </c>
      <c r="B15" s="18">
        <v>35</v>
      </c>
      <c r="C15" s="18">
        <v>15</v>
      </c>
      <c r="N15" t="s">
        <v>33</v>
      </c>
      <c r="O15">
        <f>+(O11-1)*6-180+3</f>
        <v>-93</v>
      </c>
      <c r="Q15" t="s">
        <v>10</v>
      </c>
      <c r="R15">
        <f>+O19-(R9*TAN(O19)/R12)*(R13^2/2-(5+3*R10+10*R11-4*R11^2-9*Q5)*(R13^4)/24+(61+90*R10+298*R11+45*R10^2-252*Q5-3*R11^2)*(R13^6)/720)</f>
        <v>0.8828414427392128</v>
      </c>
      <c r="S15">
        <f>+DEGREES(R15)</f>
        <v>50.58308864819743</v>
      </c>
    </row>
    <row r="16" spans="1:19" ht="12.75">
      <c r="A16" s="17" t="s">
        <v>26</v>
      </c>
      <c r="B16" s="18">
        <v>15.4</v>
      </c>
      <c r="C16" s="18">
        <v>32.3</v>
      </c>
      <c r="G16" t="s">
        <v>20</v>
      </c>
      <c r="H16">
        <f>+H6*L9*(L12+((1-L10+L11)*(L12^3))/6+((5-18*L10+L10^2+72*L11-58*J5)*(L12^5))/120)+500000</f>
        <v>410876.06059213844</v>
      </c>
      <c r="Q16" t="s">
        <v>11</v>
      </c>
      <c r="R16">
        <f>(R13-(1+2*R10+R11)*(R13^3)/6+(5-2*R11+28*R10-3*R11^2+8*Q5+24*R10^2)*(R13^5)/120)/COS(O19)</f>
        <v>-0.021940550768942683</v>
      </c>
      <c r="S16">
        <f>+O15+DEGREES(R16)</f>
        <v>-94.25710095925292</v>
      </c>
    </row>
    <row r="17" spans="1:15" ht="12.75">
      <c r="A17" s="12"/>
      <c r="B17" s="21" t="s">
        <v>5</v>
      </c>
      <c r="C17" s="21" t="s">
        <v>42</v>
      </c>
      <c r="G17" t="s">
        <v>21</v>
      </c>
      <c r="H17">
        <f>+H6*(L13+L9*TAN(I9)*((L12^2)/2+((5-L10+9*L11+4*(L11^2))*(L12^4))/24+((61-58*L10+L10^2+600*L11-330*J5)*(L12^6))/720))</f>
        <v>5604505.099979312</v>
      </c>
      <c r="N17" t="s">
        <v>19</v>
      </c>
      <c r="O17">
        <f>+O14/O6</f>
        <v>5606242.496998799</v>
      </c>
    </row>
    <row r="18" spans="1:19" ht="12.75">
      <c r="A18" s="11"/>
      <c r="B18" s="11"/>
      <c r="C18" s="11"/>
      <c r="N18" t="s">
        <v>34</v>
      </c>
      <c r="O18">
        <f>+O17/(O3*(1-O5/4-3*O5^2/64-5*O5^3/256))</f>
        <v>0.8804602774360749</v>
      </c>
      <c r="R18" t="s">
        <v>10</v>
      </c>
      <c r="S18" t="s">
        <v>11</v>
      </c>
    </row>
    <row r="19" spans="1:19" ht="12.75">
      <c r="A19" s="19" t="s">
        <v>24</v>
      </c>
      <c r="B19" s="15">
        <f>+'LatLong-&gt;UTM'!H16</f>
        <v>410876.06059213844</v>
      </c>
      <c r="C19" t="s">
        <v>28</v>
      </c>
      <c r="D19" s="10" t="s">
        <v>44</v>
      </c>
      <c r="N19" t="s">
        <v>40</v>
      </c>
      <c r="O19">
        <f>+O18+(3*Q6/2-27*Q6^3/27)*SIN(2*O18)+(21*Q6^2/16+55*Q6^4/32)*SIN(4*O18)+(151*Q6^3/96)*SIN(6*O18)</f>
        <v>0.8829598425851657</v>
      </c>
      <c r="Q19" t="s">
        <v>0</v>
      </c>
      <c r="R19">
        <f>+INT(S15)</f>
        <v>50</v>
      </c>
      <c r="S19">
        <f>+INT(-S16)</f>
        <v>94</v>
      </c>
    </row>
    <row r="20" spans="1:19" ht="13.5" thickBot="1">
      <c r="A20" s="19" t="s">
        <v>23</v>
      </c>
      <c r="B20" s="15">
        <f>+'LatLong-&gt;UTM'!H17</f>
        <v>5604505.099979312</v>
      </c>
      <c r="C20" t="s">
        <v>29</v>
      </c>
      <c r="F20" s="8"/>
      <c r="N20" t="s">
        <v>41</v>
      </c>
      <c r="O20">
        <f>+DEGREES(O19)</f>
        <v>50.58987245966553</v>
      </c>
      <c r="Q20" t="s">
        <v>25</v>
      </c>
      <c r="R20">
        <f>+INT((S15-R19)*60)</f>
        <v>34</v>
      </c>
      <c r="S20">
        <f>+INT((-S16-S19)*60)</f>
        <v>15</v>
      </c>
    </row>
    <row r="21" spans="1:19" ht="12.75">
      <c r="A21" s="19" t="s">
        <v>14</v>
      </c>
      <c r="B21" s="16">
        <f>+'LatLong-&gt;UTM'!H13</f>
        <v>15</v>
      </c>
      <c r="G21" s="1" t="s">
        <v>7</v>
      </c>
      <c r="H21" s="2" t="s">
        <v>27</v>
      </c>
      <c r="Q21" t="s">
        <v>26</v>
      </c>
      <c r="R21" s="7">
        <f>+(((S15-R19)*60)-R20)*60</f>
        <v>59.11913351075441</v>
      </c>
      <c r="S21" s="7">
        <f>+(((-S16-S19)*60)-S20)*60</f>
        <v>25.56345331052512</v>
      </c>
    </row>
    <row r="22" spans="7:8" ht="12.75">
      <c r="G22" s="3" t="s">
        <v>3</v>
      </c>
      <c r="H22" s="4">
        <v>6378137</v>
      </c>
    </row>
    <row r="23" spans="1:8" ht="13.5" thickBot="1">
      <c r="A23" s="19" t="s">
        <v>24</v>
      </c>
      <c r="B23" s="15">
        <f>+'LatLong-&gt;UTM'!H35</f>
        <v>410879.0140871917</v>
      </c>
      <c r="C23" t="s">
        <v>28</v>
      </c>
      <c r="D23" s="10" t="s">
        <v>45</v>
      </c>
      <c r="G23" s="5" t="s">
        <v>9</v>
      </c>
      <c r="H23" s="6">
        <v>298.257223563</v>
      </c>
    </row>
    <row r="24" spans="1:10" ht="12.75">
      <c r="A24" s="19" t="s">
        <v>23</v>
      </c>
      <c r="B24" s="15">
        <f>+'LatLong-&gt;UTM'!H36</f>
        <v>5604723.848468266</v>
      </c>
      <c r="C24" t="s">
        <v>29</v>
      </c>
      <c r="G24" t="s">
        <v>4</v>
      </c>
      <c r="H24">
        <f>2*(1/H23)-(1/H23)^2</f>
        <v>0.0066943799901413165</v>
      </c>
      <c r="I24" t="s">
        <v>13</v>
      </c>
      <c r="J24">
        <f>+H24/(1-H24)</f>
        <v>0.006739496742276434</v>
      </c>
    </row>
    <row r="25" spans="1:16" ht="12.75">
      <c r="A25" s="19" t="s">
        <v>14</v>
      </c>
      <c r="B25" s="16">
        <f>+'LatLong-&gt;UTM'!H32</f>
        <v>15</v>
      </c>
      <c r="G25" t="s">
        <v>8</v>
      </c>
      <c r="H25">
        <v>0.9996</v>
      </c>
      <c r="N25" s="17" t="s">
        <v>49</v>
      </c>
      <c r="O25" s="13">
        <f>+B14+(B15+B16/60)/60</f>
        <v>50.58761111111111</v>
      </c>
      <c r="P25" s="13">
        <f>IF(C17="W",+-(C14+(C15+C16/60)/60),+C14+(C15+C16/60)/60)</f>
        <v>-94.25897222222223</v>
      </c>
    </row>
    <row r="27" spans="9:14" ht="12.75">
      <c r="I27" t="s">
        <v>12</v>
      </c>
      <c r="N27" s="9" t="s">
        <v>46</v>
      </c>
    </row>
    <row r="28" spans="7:16" ht="12.75">
      <c r="G28" t="s">
        <v>10</v>
      </c>
      <c r="H28">
        <f>+H9</f>
        <v>50.58761111111111</v>
      </c>
      <c r="I28">
        <f>RADIANS(H28)</f>
        <v>0.8829203746073558</v>
      </c>
      <c r="K28" t="s">
        <v>5</v>
      </c>
      <c r="L28">
        <f>+H22/(SQRT(1-H24*SIN(I28)*SIN(I28)))</f>
        <v>6390918.546600628</v>
      </c>
      <c r="N28" s="19" t="s">
        <v>47</v>
      </c>
      <c r="O28" s="14">
        <f>+O25</f>
        <v>50.58761111111111</v>
      </c>
      <c r="P28" t="s">
        <v>1</v>
      </c>
    </row>
    <row r="29" spans="7:16" ht="12.75">
      <c r="G29" t="s">
        <v>11</v>
      </c>
      <c r="H29">
        <f>+H10</f>
        <v>-94.25897222222223</v>
      </c>
      <c r="I29">
        <f>RADIANS(H29)</f>
        <v>-1.6451294148236542</v>
      </c>
      <c r="K29" t="s">
        <v>16</v>
      </c>
      <c r="L29">
        <f>(TAN(I28))^2</f>
        <v>1.4808051278157874</v>
      </c>
      <c r="N29" s="19" t="s">
        <v>48</v>
      </c>
      <c r="O29" s="14">
        <f>+P25</f>
        <v>-94.25897222222223</v>
      </c>
      <c r="P29" t="s">
        <v>2</v>
      </c>
    </row>
    <row r="30" spans="7:12" ht="12.75">
      <c r="G30" t="s">
        <v>22</v>
      </c>
      <c r="H30">
        <f>+(H29+180)-INT((H29+180)/360)*360-180</f>
        <v>-94.25897222222223</v>
      </c>
      <c r="I30">
        <f>RADIANS(H30)</f>
        <v>-1.6451294148236542</v>
      </c>
      <c r="K30" t="s">
        <v>17</v>
      </c>
      <c r="L30">
        <f>+J24*(COS(I28))^2</f>
        <v>0.0027166570508543693</v>
      </c>
    </row>
    <row r="31" spans="11:12" ht="12.75">
      <c r="K31" t="s">
        <v>18</v>
      </c>
      <c r="L31">
        <f>+(I29-I33)*COS(I28)</f>
        <v>-0.01395073824272719</v>
      </c>
    </row>
    <row r="32" spans="7:16" ht="12.75">
      <c r="G32" t="s">
        <v>14</v>
      </c>
      <c r="H32">
        <f>+INT((H30+180)/6)+1</f>
        <v>15</v>
      </c>
      <c r="K32" t="s">
        <v>19</v>
      </c>
      <c r="L32">
        <f>+H22*((1-H24/4-3*(H24^2)/64-5*(H24^3)/256)*I28-(3*H24/8+3*(H24^2)/32+45*(H24^3)/1024)*SIN(2*I28)+(15*(H24^2)/256+45*(H24^3)/1024)*SIN(4*I28)-(35*(H24^3)/3072)*SIN(6*I28))</f>
        <v>5606209.799473068</v>
      </c>
      <c r="N32" s="19" t="s">
        <v>47</v>
      </c>
      <c r="O32" s="16">
        <f>+'LatLong-&gt;UTM'!S15</f>
        <v>50.58308864819743</v>
      </c>
      <c r="P32" t="s">
        <v>1</v>
      </c>
    </row>
    <row r="33" spans="7:16" ht="12.75">
      <c r="G33" t="s">
        <v>15</v>
      </c>
      <c r="H33">
        <f>+(H32-1)*6-180+3</f>
        <v>-93</v>
      </c>
      <c r="I33">
        <f>RADIANS(H33)</f>
        <v>-1.6231562043547265</v>
      </c>
      <c r="N33" s="19" t="s">
        <v>48</v>
      </c>
      <c r="O33" s="16">
        <f>+'LatLong-&gt;UTM'!S16</f>
        <v>-94.25710095925292</v>
      </c>
      <c r="P33" t="s">
        <v>2</v>
      </c>
    </row>
    <row r="35" spans="7:8" ht="12.75">
      <c r="G35" t="s">
        <v>20</v>
      </c>
      <c r="H35">
        <f>+H25*L28*(L31+((1-L29+L30)*(L31^3))/6+((5-18*L29+L29^2+72*L30-58*J24)*(L31^5))/120)+500000</f>
        <v>410879.0140871917</v>
      </c>
    </row>
    <row r="36" spans="7:8" ht="12.75">
      <c r="G36" t="s">
        <v>21</v>
      </c>
      <c r="H36">
        <f>+H25*(L32+L28*TAN(I28)*((L31^2)/2+((5-L29+9*L30+4*(L30^2))*(L31^4))/24+((61-58*L29+L29^2+600*L30-330*J24)*(L31^6))/720))</f>
        <v>5604723.848468266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Sul Ross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Sicilian Rhyolite Society</dc:creator>
  <cp:keywords/>
  <dc:description/>
  <cp:lastModifiedBy>Phil Croucher</cp:lastModifiedBy>
  <dcterms:created xsi:type="dcterms:W3CDTF">2000-04-17T19:05:40Z</dcterms:created>
  <dcterms:modified xsi:type="dcterms:W3CDTF">2003-07-20T21:55:32Z</dcterms:modified>
  <cp:category/>
  <cp:version/>
  <cp:contentType/>
  <cp:contentStatus/>
</cp:coreProperties>
</file>